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365" tabRatio="516" activeTab="2"/>
  </bookViews>
  <sheets>
    <sheet name="PARA ESCRIBIR" sheetId="1" r:id="rId1"/>
    <sheet name="DATOS" sheetId="2" r:id="rId2"/>
    <sheet name="FORMULA#1" sheetId="3" r:id="rId3"/>
    <sheet name="Hoja1" sheetId="4" r:id="rId4"/>
  </sheets>
  <definedNames>
    <definedName name="datos">'DATOS'!$A$7:$C$26</definedName>
    <definedName name="PRESUPUESTO">'DATOS'!$A$4:$C$4</definedName>
  </definedNames>
  <calcPr fullCalcOnLoad="1"/>
</workbook>
</file>

<file path=xl/comments1.xml><?xml version="1.0" encoding="utf-8"?>
<comments xmlns="http://schemas.openxmlformats.org/spreadsheetml/2006/main">
  <authors>
    <author>NIKANDRO</author>
  </authors>
  <commentList>
    <comment ref="A3" authorId="0">
      <text>
        <r>
          <rPr>
            <b/>
            <sz val="9"/>
            <rFont val="Tahoma"/>
            <family val="2"/>
          </rPr>
          <t>CONVENIO 3203:</t>
        </r>
        <r>
          <rPr>
            <sz val="9"/>
            <rFont val="Tahoma"/>
            <family val="2"/>
          </rPr>
          <t xml:space="preserve">
Favor colocar en las celdas donde no hayan proponentes cero (0)</t>
        </r>
      </text>
    </comment>
  </commentList>
</comments>
</file>

<file path=xl/comments2.xml><?xml version="1.0" encoding="utf-8"?>
<comments xmlns="http://schemas.openxmlformats.org/spreadsheetml/2006/main">
  <authors>
    <author>NIKANDRO</author>
  </authors>
  <commentList>
    <comment ref="A3" authorId="0">
      <text>
        <r>
          <rPr>
            <b/>
            <sz val="9"/>
            <rFont val="Tahoma"/>
            <family val="2"/>
          </rPr>
          <t>CONVENIO 3203:</t>
        </r>
        <r>
          <rPr>
            <sz val="9"/>
            <rFont val="Tahoma"/>
            <family val="2"/>
          </rPr>
          <t xml:space="preserve">
Favor colocar en las celdas donde no hayan proponentes cero (0)</t>
        </r>
      </text>
    </comment>
  </commentList>
</comments>
</file>

<file path=xl/sharedStrings.xml><?xml version="1.0" encoding="utf-8"?>
<sst xmlns="http://schemas.openxmlformats.org/spreadsheetml/2006/main" count="77" uniqueCount="55">
  <si>
    <t>PROPONENTES</t>
  </si>
  <si>
    <t>PRESUPUESTO OFICIAL</t>
  </si>
  <si>
    <t>RANGO ADMISIBLE</t>
  </si>
  <si>
    <t>SI</t>
  </si>
  <si>
    <t>NO</t>
  </si>
  <si>
    <t>EVALUACIÓN</t>
  </si>
  <si>
    <t>Factor Multiplicador y correcto diligenciamiento del formulario</t>
  </si>
  <si>
    <t>Valor en el rango admisible</t>
  </si>
  <si>
    <t>ADMISIBLE PARA LA EVALUACIÓN</t>
  </si>
  <si>
    <t>RANGO DE ELEGIBILIDAD (RE)</t>
  </si>
  <si>
    <t>VALOR BASICO DE LA PROPUESTA</t>
  </si>
  <si>
    <t>VALOR BÁSICO ADMISIBLE</t>
  </si>
  <si>
    <t>NUMERO DE PROPONENTES</t>
  </si>
  <si>
    <t>VALOR PROMEDIO 1</t>
  </si>
  <si>
    <t>VRP 1-2%</t>
  </si>
  <si>
    <t>VRP 1+2%</t>
  </si>
  <si>
    <t>PROPUESTAS ELEGIDAS POR EL VRP 1</t>
  </si>
  <si>
    <t>VALOR PROMEDIO 2</t>
  </si>
  <si>
    <t>VR. PRESUPUESTO OFICIAL (VPO)</t>
  </si>
  <si>
    <t>VR. PROMEDIO 1 (VRP1)</t>
  </si>
  <si>
    <t>VR. PROMEDIO 2 (VRP2)</t>
  </si>
  <si>
    <t>Propuesta hábil más baja  dentro RE ( PMVR0)</t>
  </si>
  <si>
    <t xml:space="preserve">VALOR PROMEDIO FINAL </t>
  </si>
  <si>
    <t>FORMULA #1 VALOR PROMEDIO</t>
  </si>
  <si>
    <t>NUMERO DE PROPONENTES ADMISIBLES</t>
  </si>
  <si>
    <t>PNVRO</t>
  </si>
  <si>
    <t>PMVRO</t>
  </si>
  <si>
    <t>DISCREPANCIA FINAL</t>
  </si>
  <si>
    <t>UNIVERSIDAD DEL CAUCA</t>
  </si>
  <si>
    <t>No.</t>
  </si>
  <si>
    <t>COMENTARIO IMPORTANTE</t>
  </si>
  <si>
    <t>Propuesta hábil más alta  dentro RE ( PNVR0)</t>
  </si>
  <si>
    <t>CRITERIO PNVR0 Y PMVR0</t>
  </si>
  <si>
    <t>PROGRAMADORES_</t>
  </si>
  <si>
    <t>JUAN PABLO MELO ORTIZ</t>
  </si>
  <si>
    <t>NIKANDRO MUÑOZ</t>
  </si>
  <si>
    <t>PRESUPUESTO OFICIAL ANTES DE IVA</t>
  </si>
  <si>
    <t>LIMITE SUPERIOR</t>
  </si>
  <si>
    <t>LIMITE INFERIOR</t>
  </si>
  <si>
    <t>PRESUP ANTES IVA</t>
  </si>
  <si>
    <t>MARIA EUGENIA TRUJILLO SOLARTE</t>
  </si>
  <si>
    <t>ELEAZAR GIRALDO FAJURI</t>
  </si>
  <si>
    <t>JANIO ELVER BURBANO MUÑOZ</t>
  </si>
  <si>
    <t>JUAN CARLOS COLLAZOS PALTA</t>
  </si>
  <si>
    <t>CARLOS FABIAN SUAREZ VILLAQUIRAN</t>
  </si>
  <si>
    <t>JESUS MARIA HINCAPIE</t>
  </si>
  <si>
    <t>LUIS EDUARDO ORDOÑEZ</t>
  </si>
  <si>
    <t>CONSORCIO CONSTRUCCIONES</t>
  </si>
  <si>
    <t>VICTOR GABRIEL PARRA</t>
  </si>
  <si>
    <t>No. ELEGIBIL.</t>
  </si>
  <si>
    <t>VICERRECTORIA ADMINISTRATIVA</t>
  </si>
  <si>
    <t>CONTRATACION OBRA CIVILL PARA EL ARREGLO Y ENLUCIMIENTO DE LAS FACHADAS EXTERNAS Y CONSTRUCCION E INSTALACION DE VENTANERIA EN ALUMINIO DE LA FACULTAD DE CIENCIAS DE LA SALUD DE LA UNIVERSIDAD DEL CAUCA IV ETAPA - PRFH 2011</t>
  </si>
  <si>
    <t>APLICACIÓN DE LA FORMULA No. 1</t>
  </si>
  <si>
    <r>
      <t xml:space="preserve">INVITACIÓN A COTIZAR  </t>
    </r>
    <r>
      <rPr>
        <b/>
        <sz val="9"/>
        <rFont val="Tahoma"/>
        <family val="2"/>
      </rPr>
      <t xml:space="preserve">No. </t>
    </r>
    <r>
      <rPr>
        <b/>
        <sz val="9"/>
        <color indexed="8"/>
        <rFont val="Tahoma"/>
        <family val="2"/>
      </rPr>
      <t xml:space="preserve"> 090 DE  2011</t>
    </r>
  </si>
  <si>
    <t>Popayán, junio 05 de 2011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</si>
</sst>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  <numFmt numFmtId="181" formatCode="[$$-240A]\ #,##0.000"/>
    <numFmt numFmtId="182" formatCode="[$$-240A]\ 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Algerian"/>
      <family val="5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.5"/>
      <color indexed="8"/>
      <name val="Tahoma"/>
      <family val="2"/>
    </font>
    <font>
      <sz val="11"/>
      <color indexed="8"/>
      <name val="Verdan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Informal Roman"/>
      <family val="4"/>
    </font>
    <font>
      <b/>
      <sz val="10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181" fontId="7" fillId="35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182" fontId="0" fillId="34" borderId="10" xfId="0" applyNumberForma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Alignment="1">
      <alignment/>
    </xf>
    <xf numFmtId="4" fontId="10" fillId="37" borderId="0" xfId="0" applyNumberFormat="1" applyFont="1" applyFill="1" applyAlignment="1">
      <alignment/>
    </xf>
    <xf numFmtId="182" fontId="10" fillId="35" borderId="10" xfId="0" applyNumberFormat="1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1" fillId="0" borderId="0" xfId="0" applyFont="1" applyFill="1" applyAlignment="1">
      <alignment/>
    </xf>
    <xf numFmtId="180" fontId="0" fillId="0" borderId="10" xfId="0" applyNumberForma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81" fontId="0" fillId="0" borderId="10" xfId="0" applyNumberFormat="1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18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5" fillId="38" borderId="10" xfId="0" applyFont="1" applyFill="1" applyBorder="1" applyAlignment="1">
      <alignment/>
    </xf>
    <xf numFmtId="0" fontId="15" fillId="38" borderId="10" xfId="0" applyFont="1" applyFill="1" applyBorder="1" applyAlignment="1">
      <alignment horizontal="left"/>
    </xf>
    <xf numFmtId="181" fontId="15" fillId="38" borderId="10" xfId="0" applyNumberFormat="1" applyFont="1" applyFill="1" applyBorder="1" applyAlignment="1">
      <alignment horizontal="right"/>
    </xf>
    <xf numFmtId="0" fontId="5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180" fontId="5" fillId="38" borderId="10" xfId="0" applyNumberFormat="1" applyFont="1" applyFill="1" applyBorder="1" applyAlignment="1">
      <alignment horizontal="center"/>
    </xf>
    <xf numFmtId="180" fontId="5" fillId="38" borderId="10" xfId="0" applyNumberFormat="1" applyFont="1" applyFill="1" applyBorder="1" applyAlignment="1">
      <alignment/>
    </xf>
    <xf numFmtId="0" fontId="5" fillId="38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0" fillId="40" borderId="0" xfId="0" applyFill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</xdr:row>
      <xdr:rowOff>123825</xdr:rowOff>
    </xdr:from>
    <xdr:to>
      <xdr:col>11</xdr:col>
      <xdr:colOff>0</xdr:colOff>
      <xdr:row>13</xdr:row>
      <xdr:rowOff>180975</xdr:rowOff>
    </xdr:to>
    <xdr:pic>
      <xdr:nvPicPr>
        <xdr:cNvPr id="1" name="1 Imagen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447675"/>
          <a:ext cx="278130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76200</xdr:rowOff>
    </xdr:from>
    <xdr:to>
      <xdr:col>5</xdr:col>
      <xdr:colOff>1790700</xdr:colOff>
      <xdr:row>16</xdr:row>
      <xdr:rowOff>171450</xdr:rowOff>
    </xdr:to>
    <xdr:pic>
      <xdr:nvPicPr>
        <xdr:cNvPr id="1" name="1 Imagen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23900"/>
          <a:ext cx="27813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7.7109375" style="0" customWidth="1"/>
    <col min="2" max="2" width="38.7109375" style="0" customWidth="1"/>
    <col min="3" max="3" width="30.57421875" style="0" bestFit="1" customWidth="1"/>
    <col min="4" max="4" width="6.8515625" style="0" customWidth="1"/>
    <col min="5" max="5" width="17.57421875" style="0" bestFit="1" customWidth="1"/>
    <col min="6" max="6" width="28.00390625" style="0" customWidth="1"/>
    <col min="11" max="11" width="7.7109375" style="0" customWidth="1"/>
  </cols>
  <sheetData>
    <row r="1" spans="1:6" ht="25.5">
      <c r="A1" s="64" t="s">
        <v>28</v>
      </c>
      <c r="B1" s="65"/>
      <c r="C1" s="65"/>
      <c r="D1" s="65"/>
      <c r="E1" s="65"/>
      <c r="F1" s="66"/>
    </row>
    <row r="2" spans="8:11" ht="15">
      <c r="H2" s="68"/>
      <c r="I2" s="68"/>
      <c r="J2" s="68"/>
      <c r="K2" s="68"/>
    </row>
    <row r="3" spans="1:11" ht="18" customHeight="1">
      <c r="A3" s="67" t="s">
        <v>30</v>
      </c>
      <c r="B3" s="67"/>
      <c r="E3" s="13" t="s">
        <v>37</v>
      </c>
      <c r="F3" s="23">
        <f>C4</f>
        <v>72023138</v>
      </c>
      <c r="H3" s="68"/>
      <c r="I3" s="68"/>
      <c r="J3" s="68"/>
      <c r="K3" s="68"/>
    </row>
    <row r="4" spans="1:11" ht="18" customHeight="1">
      <c r="A4" s="4">
        <v>1</v>
      </c>
      <c r="B4" s="4" t="s">
        <v>36</v>
      </c>
      <c r="C4" s="22">
        <v>72023138</v>
      </c>
      <c r="E4" s="13" t="s">
        <v>38</v>
      </c>
      <c r="F4" s="23">
        <f>C4*0.95</f>
        <v>68421981.1</v>
      </c>
      <c r="H4" s="68"/>
      <c r="I4" s="68"/>
      <c r="J4" s="68"/>
      <c r="K4" s="68"/>
    </row>
    <row r="5" spans="8:11" ht="18" customHeight="1">
      <c r="H5" s="68"/>
      <c r="I5" s="68"/>
      <c r="J5" s="68"/>
      <c r="K5" s="68"/>
    </row>
    <row r="6" spans="1:11" ht="18" customHeight="1">
      <c r="A6" s="4" t="s">
        <v>29</v>
      </c>
      <c r="B6" s="4" t="s">
        <v>0</v>
      </c>
      <c r="C6" s="7" t="s">
        <v>10</v>
      </c>
      <c r="H6" s="68"/>
      <c r="I6" s="68"/>
      <c r="J6" s="68"/>
      <c r="K6" s="68"/>
    </row>
    <row r="7" spans="1:11" ht="18" customHeight="1">
      <c r="A7" s="6">
        <v>1</v>
      </c>
      <c r="B7" s="11" t="s">
        <v>40</v>
      </c>
      <c r="C7" s="12">
        <v>71708563</v>
      </c>
      <c r="H7" s="68"/>
      <c r="I7" s="68"/>
      <c r="J7" s="68"/>
      <c r="K7" s="68"/>
    </row>
    <row r="8" spans="1:11" ht="18" customHeight="1">
      <c r="A8" s="6">
        <v>2</v>
      </c>
      <c r="B8" s="11" t="s">
        <v>41</v>
      </c>
      <c r="C8" s="12">
        <v>71729616</v>
      </c>
      <c r="E8" s="19"/>
      <c r="F8" s="20"/>
      <c r="H8" s="68"/>
      <c r="I8" s="68"/>
      <c r="J8" s="68"/>
      <c r="K8" s="68"/>
    </row>
    <row r="9" spans="1:11" ht="18" customHeight="1">
      <c r="A9" s="6">
        <v>3</v>
      </c>
      <c r="B9" s="11" t="s">
        <v>42</v>
      </c>
      <c r="C9" s="12">
        <v>71791204</v>
      </c>
      <c r="E9" s="16" t="s">
        <v>39</v>
      </c>
      <c r="F9" s="21">
        <v>72023138</v>
      </c>
      <c r="H9" s="68"/>
      <c r="I9" s="68"/>
      <c r="J9" s="68"/>
      <c r="K9" s="68"/>
    </row>
    <row r="10" spans="1:11" ht="18" customHeight="1">
      <c r="A10" s="6">
        <v>4</v>
      </c>
      <c r="B10" s="11" t="s">
        <v>43</v>
      </c>
      <c r="C10" s="12">
        <v>71859675</v>
      </c>
      <c r="F10" s="18"/>
      <c r="H10" s="68"/>
      <c r="I10" s="68"/>
      <c r="J10" s="68"/>
      <c r="K10" s="68"/>
    </row>
    <row r="11" spans="1:11" ht="18" customHeight="1">
      <c r="A11" s="6">
        <v>5</v>
      </c>
      <c r="B11" s="11" t="s">
        <v>44</v>
      </c>
      <c r="C11" s="12">
        <v>71495138</v>
      </c>
      <c r="H11" s="68"/>
      <c r="I11" s="68"/>
      <c r="J11" s="68"/>
      <c r="K11" s="68"/>
    </row>
    <row r="12" spans="1:11" ht="18" customHeight="1">
      <c r="A12" s="6">
        <v>6</v>
      </c>
      <c r="B12" s="11" t="s">
        <v>45</v>
      </c>
      <c r="C12" s="12">
        <v>71453063</v>
      </c>
      <c r="H12" s="68"/>
      <c r="I12" s="68"/>
      <c r="J12" s="68"/>
      <c r="K12" s="68"/>
    </row>
    <row r="13" spans="1:11" ht="18" customHeight="1">
      <c r="A13" s="6">
        <v>7</v>
      </c>
      <c r="B13" s="11" t="s">
        <v>46</v>
      </c>
      <c r="C13" s="12">
        <v>71412381</v>
      </c>
      <c r="E13" s="17"/>
      <c r="H13" s="68"/>
      <c r="I13" s="68"/>
      <c r="J13" s="68"/>
      <c r="K13" s="68"/>
    </row>
    <row r="14" spans="1:11" ht="18" customHeight="1">
      <c r="A14" s="6">
        <v>8</v>
      </c>
      <c r="B14" s="11" t="s">
        <v>48</v>
      </c>
      <c r="C14" s="12">
        <v>71785461</v>
      </c>
      <c r="H14" s="68"/>
      <c r="I14" s="68"/>
      <c r="J14" s="68"/>
      <c r="K14" s="68"/>
    </row>
    <row r="15" spans="1:11" ht="18" customHeight="1">
      <c r="A15" s="3">
        <v>9</v>
      </c>
      <c r="B15" s="11" t="s">
        <v>47</v>
      </c>
      <c r="C15" s="12">
        <v>71518976</v>
      </c>
      <c r="H15" s="68"/>
      <c r="I15" s="68"/>
      <c r="J15" s="68"/>
      <c r="K15" s="68"/>
    </row>
    <row r="16" spans="1:3" ht="18" customHeight="1">
      <c r="A16" s="6">
        <v>10</v>
      </c>
      <c r="B16" s="11">
        <v>0</v>
      </c>
      <c r="C16" s="12">
        <v>0</v>
      </c>
    </row>
    <row r="17" spans="1:3" ht="18" customHeight="1">
      <c r="A17" s="6">
        <v>11</v>
      </c>
      <c r="B17" s="11">
        <v>0</v>
      </c>
      <c r="C17" s="12">
        <v>0</v>
      </c>
    </row>
    <row r="18" spans="1:11" ht="18" customHeight="1">
      <c r="A18" s="6">
        <v>12</v>
      </c>
      <c r="B18" s="11">
        <v>0</v>
      </c>
      <c r="C18" s="12">
        <v>0</v>
      </c>
      <c r="H18" s="69" t="s">
        <v>33</v>
      </c>
      <c r="I18" s="69"/>
      <c r="J18" s="69"/>
      <c r="K18" s="69"/>
    </row>
    <row r="19" spans="1:11" ht="18" customHeight="1">
      <c r="A19" s="6">
        <v>13</v>
      </c>
      <c r="B19" s="11">
        <v>0</v>
      </c>
      <c r="C19" s="12">
        <v>0</v>
      </c>
      <c r="H19" s="63" t="s">
        <v>34</v>
      </c>
      <c r="I19" s="63"/>
      <c r="J19" s="63"/>
      <c r="K19" s="63"/>
    </row>
    <row r="20" spans="1:11" ht="18" customHeight="1">
      <c r="A20" s="6">
        <v>14</v>
      </c>
      <c r="B20" s="11">
        <v>0</v>
      </c>
      <c r="C20" s="12">
        <v>0</v>
      </c>
      <c r="H20" s="63"/>
      <c r="I20" s="63"/>
      <c r="J20" s="63"/>
      <c r="K20" s="63"/>
    </row>
    <row r="21" spans="1:11" ht="18" customHeight="1">
      <c r="A21" s="6">
        <v>15</v>
      </c>
      <c r="B21" s="11">
        <v>0</v>
      </c>
      <c r="C21" s="12">
        <v>0</v>
      </c>
      <c r="H21" s="63" t="s">
        <v>35</v>
      </c>
      <c r="I21" s="63"/>
      <c r="J21" s="63"/>
      <c r="K21" s="63"/>
    </row>
    <row r="22" spans="1:11" ht="18" customHeight="1">
      <c r="A22" s="6">
        <v>16</v>
      </c>
      <c r="B22" s="11">
        <v>0</v>
      </c>
      <c r="C22" s="12">
        <v>0</v>
      </c>
      <c r="H22" s="63"/>
      <c r="I22" s="63"/>
      <c r="J22" s="63"/>
      <c r="K22" s="63"/>
    </row>
    <row r="23" spans="1:3" ht="18" customHeight="1">
      <c r="A23" s="6">
        <v>17</v>
      </c>
      <c r="B23" s="11">
        <v>0</v>
      </c>
      <c r="C23" s="12">
        <v>0</v>
      </c>
    </row>
    <row r="24" spans="1:3" ht="18" customHeight="1">
      <c r="A24" s="6">
        <v>18</v>
      </c>
      <c r="B24" s="11">
        <v>0</v>
      </c>
      <c r="C24" s="12">
        <v>0</v>
      </c>
    </row>
    <row r="25" spans="1:6" ht="18" customHeight="1">
      <c r="A25" s="6">
        <v>19</v>
      </c>
      <c r="B25" s="11">
        <v>0</v>
      </c>
      <c r="C25" s="12">
        <v>0</v>
      </c>
      <c r="E25" s="5"/>
      <c r="F25" s="5"/>
    </row>
    <row r="26" spans="1:3" ht="18" customHeight="1">
      <c r="A26" s="6">
        <v>20</v>
      </c>
      <c r="B26" s="11">
        <v>0</v>
      </c>
      <c r="C26" s="12">
        <v>0</v>
      </c>
    </row>
  </sheetData>
  <sheetProtection/>
  <mergeCells count="7">
    <mergeCell ref="H21:K22"/>
    <mergeCell ref="A1:F1"/>
    <mergeCell ref="A3:B3"/>
    <mergeCell ref="H2:I15"/>
    <mergeCell ref="J2:K15"/>
    <mergeCell ref="H18:K18"/>
    <mergeCell ref="H19:K20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8" sqref="B8"/>
    </sheetView>
  </sheetViews>
  <sheetFormatPr defaultColWidth="11.421875" defaultRowHeight="15"/>
  <cols>
    <col min="1" max="1" width="7.7109375" style="0" customWidth="1"/>
    <col min="2" max="2" width="37.140625" style="0" customWidth="1"/>
    <col min="3" max="3" width="19.421875" style="0" customWidth="1"/>
    <col min="4" max="4" width="6.8515625" style="0" customWidth="1"/>
    <col min="5" max="5" width="16.140625" style="0" customWidth="1"/>
    <col min="6" max="6" width="28.00390625" style="0" customWidth="1"/>
  </cols>
  <sheetData>
    <row r="1" spans="1:6" ht="36" customHeight="1">
      <c r="A1" s="64" t="s">
        <v>28</v>
      </c>
      <c r="B1" s="65"/>
      <c r="C1" s="65"/>
      <c r="D1" s="65"/>
      <c r="E1" s="65"/>
      <c r="F1" s="66"/>
    </row>
    <row r="3" spans="1:6" ht="24" customHeight="1">
      <c r="A3" s="67" t="s">
        <v>30</v>
      </c>
      <c r="B3" s="67"/>
      <c r="E3" s="68"/>
      <c r="F3" s="68"/>
    </row>
    <row r="4" spans="1:6" ht="25.5" customHeight="1">
      <c r="A4" s="4">
        <v>1</v>
      </c>
      <c r="B4" s="4" t="s">
        <v>36</v>
      </c>
      <c r="C4" s="14">
        <f>+'PARA ESCRIBIR'!C4</f>
        <v>72023138</v>
      </c>
      <c r="E4" s="68"/>
      <c r="F4" s="68"/>
    </row>
    <row r="5" spans="5:6" ht="15">
      <c r="E5" s="68"/>
      <c r="F5" s="68"/>
    </row>
    <row r="6" spans="1:6" ht="45">
      <c r="A6" s="4" t="s">
        <v>29</v>
      </c>
      <c r="B6" s="4" t="s">
        <v>0</v>
      </c>
      <c r="C6" s="7" t="s">
        <v>10</v>
      </c>
      <c r="E6" s="68"/>
      <c r="F6" s="68"/>
    </row>
    <row r="7" spans="1:6" ht="15">
      <c r="A7" s="6">
        <v>1</v>
      </c>
      <c r="B7" s="10" t="str">
        <f>+'PARA ESCRIBIR'!B7</f>
        <v>MARIA EUGENIA TRUJILLO SOLARTE</v>
      </c>
      <c r="C7" s="9">
        <f>+'PARA ESCRIBIR'!C7</f>
        <v>71708563</v>
      </c>
      <c r="E7" s="68"/>
      <c r="F7" s="68"/>
    </row>
    <row r="8" spans="1:6" ht="15">
      <c r="A8" s="6">
        <v>2</v>
      </c>
      <c r="B8" s="10" t="str">
        <f>+'PARA ESCRIBIR'!B8</f>
        <v>ELEAZAR GIRALDO FAJURI</v>
      </c>
      <c r="C8" s="9">
        <f>+'PARA ESCRIBIR'!C8</f>
        <v>71729616</v>
      </c>
      <c r="E8" s="68"/>
      <c r="F8" s="68"/>
    </row>
    <row r="9" spans="1:6" ht="15">
      <c r="A9" s="6">
        <v>3</v>
      </c>
      <c r="B9" s="10" t="str">
        <f>+'PARA ESCRIBIR'!B9</f>
        <v>JANIO ELVER BURBANO MUÑOZ</v>
      </c>
      <c r="C9" s="9">
        <f>+'PARA ESCRIBIR'!C9</f>
        <v>71791204</v>
      </c>
      <c r="E9" s="68"/>
      <c r="F9" s="68"/>
    </row>
    <row r="10" spans="1:6" ht="15">
      <c r="A10" s="6">
        <v>4</v>
      </c>
      <c r="B10" s="10" t="str">
        <f>+'PARA ESCRIBIR'!B10</f>
        <v>JUAN CARLOS COLLAZOS PALTA</v>
      </c>
      <c r="C10" s="9">
        <f>+'PARA ESCRIBIR'!C10</f>
        <v>71859675</v>
      </c>
      <c r="E10" s="68"/>
      <c r="F10" s="68"/>
    </row>
    <row r="11" spans="1:6" ht="15">
      <c r="A11" s="6">
        <v>5</v>
      </c>
      <c r="B11" s="10" t="str">
        <f>+'PARA ESCRIBIR'!B11</f>
        <v>CARLOS FABIAN SUAREZ VILLAQUIRAN</v>
      </c>
      <c r="C11" s="9">
        <f>+'PARA ESCRIBIR'!C11</f>
        <v>71495138</v>
      </c>
      <c r="E11" s="68"/>
      <c r="F11" s="68"/>
    </row>
    <row r="12" spans="1:6" ht="15">
      <c r="A12" s="6">
        <v>6</v>
      </c>
      <c r="B12" s="10" t="str">
        <f>+'PARA ESCRIBIR'!B12</f>
        <v>JESUS MARIA HINCAPIE</v>
      </c>
      <c r="C12" s="9">
        <f>+'PARA ESCRIBIR'!C12</f>
        <v>71453063</v>
      </c>
      <c r="E12" s="68"/>
      <c r="F12" s="68"/>
    </row>
    <row r="13" spans="1:6" ht="15">
      <c r="A13" s="6">
        <v>7</v>
      </c>
      <c r="B13" s="10" t="str">
        <f>+'PARA ESCRIBIR'!B13</f>
        <v>LUIS EDUARDO ORDOÑEZ</v>
      </c>
      <c r="C13" s="9">
        <f>+'PARA ESCRIBIR'!C13</f>
        <v>71412381</v>
      </c>
      <c r="E13" s="68"/>
      <c r="F13" s="68"/>
    </row>
    <row r="14" spans="1:6" ht="15">
      <c r="A14" s="6">
        <v>8</v>
      </c>
      <c r="B14" s="10" t="str">
        <f>+'PARA ESCRIBIR'!B14</f>
        <v>VICTOR GABRIEL PARRA</v>
      </c>
      <c r="C14" s="9">
        <f>+'PARA ESCRIBIR'!C14</f>
        <v>71785461</v>
      </c>
      <c r="E14" s="68"/>
      <c r="F14" s="68"/>
    </row>
    <row r="15" spans="1:6" ht="15">
      <c r="A15" s="6">
        <v>9</v>
      </c>
      <c r="B15" s="10" t="str">
        <f>+'PARA ESCRIBIR'!B15</f>
        <v>CONSORCIO CONSTRUCCIONES</v>
      </c>
      <c r="C15" s="9">
        <f>+'PARA ESCRIBIR'!C15</f>
        <v>71518976</v>
      </c>
      <c r="E15" s="68"/>
      <c r="F15" s="68"/>
    </row>
    <row r="16" spans="1:6" ht="15">
      <c r="A16" s="6">
        <v>10</v>
      </c>
      <c r="B16" s="10">
        <f>+'PARA ESCRIBIR'!B16</f>
        <v>0</v>
      </c>
      <c r="C16" s="9">
        <f>+'PARA ESCRIBIR'!C16</f>
        <v>0</v>
      </c>
      <c r="E16" s="68"/>
      <c r="F16" s="68"/>
    </row>
    <row r="17" spans="1:6" ht="15">
      <c r="A17" s="6">
        <v>11</v>
      </c>
      <c r="B17" s="10">
        <f>+'PARA ESCRIBIR'!B17</f>
        <v>0</v>
      </c>
      <c r="C17" s="9">
        <f>+'PARA ESCRIBIR'!C17</f>
        <v>0</v>
      </c>
      <c r="E17" s="68"/>
      <c r="F17" s="68"/>
    </row>
    <row r="18" spans="1:3" ht="15">
      <c r="A18" s="6">
        <v>12</v>
      </c>
      <c r="B18" s="10">
        <f>+'PARA ESCRIBIR'!B18</f>
        <v>0</v>
      </c>
      <c r="C18" s="9">
        <f>+'PARA ESCRIBIR'!C18</f>
        <v>0</v>
      </c>
    </row>
    <row r="19" spans="1:6" ht="16.5">
      <c r="A19" s="6">
        <v>13</v>
      </c>
      <c r="B19" s="10">
        <f>+'PARA ESCRIBIR'!B19</f>
        <v>0</v>
      </c>
      <c r="C19" s="9">
        <f>+'PARA ESCRIBIR'!C19</f>
        <v>0</v>
      </c>
      <c r="E19" s="69" t="s">
        <v>33</v>
      </c>
      <c r="F19" s="69"/>
    </row>
    <row r="20" spans="1:6" ht="15">
      <c r="A20" s="6">
        <v>14</v>
      </c>
      <c r="B20" s="10">
        <f>+'PARA ESCRIBIR'!B20</f>
        <v>0</v>
      </c>
      <c r="C20" s="9">
        <f>+'PARA ESCRIBIR'!C20</f>
        <v>0</v>
      </c>
      <c r="E20" s="63" t="s">
        <v>34</v>
      </c>
      <c r="F20" s="63"/>
    </row>
    <row r="21" spans="1:6" ht="15">
      <c r="A21" s="6">
        <v>15</v>
      </c>
      <c r="B21" s="10">
        <f>+'PARA ESCRIBIR'!B21</f>
        <v>0</v>
      </c>
      <c r="C21" s="9">
        <f>+'PARA ESCRIBIR'!C21</f>
        <v>0</v>
      </c>
      <c r="E21" s="63"/>
      <c r="F21" s="63"/>
    </row>
    <row r="22" spans="1:6" ht="15">
      <c r="A22" s="6">
        <v>16</v>
      </c>
      <c r="B22" s="10">
        <f>+'PARA ESCRIBIR'!B22</f>
        <v>0</v>
      </c>
      <c r="C22" s="9">
        <f>+'PARA ESCRIBIR'!C22</f>
        <v>0</v>
      </c>
      <c r="E22" s="63" t="s">
        <v>35</v>
      </c>
      <c r="F22" s="63"/>
    </row>
    <row r="23" spans="1:6" ht="15">
      <c r="A23" s="6">
        <v>17</v>
      </c>
      <c r="B23" s="10">
        <f>+'PARA ESCRIBIR'!B23</f>
        <v>0</v>
      </c>
      <c r="C23" s="9">
        <f>+'PARA ESCRIBIR'!C23</f>
        <v>0</v>
      </c>
      <c r="E23" s="63"/>
      <c r="F23" s="63"/>
    </row>
    <row r="24" spans="1:6" ht="15">
      <c r="A24" s="6">
        <v>18</v>
      </c>
      <c r="B24" s="10">
        <f>+'PARA ESCRIBIR'!B24</f>
        <v>0</v>
      </c>
      <c r="C24" s="9">
        <f>+'PARA ESCRIBIR'!C24</f>
        <v>0</v>
      </c>
      <c r="E24" s="5"/>
      <c r="F24" s="5"/>
    </row>
    <row r="25" spans="1:6" ht="15">
      <c r="A25" s="6">
        <v>19</v>
      </c>
      <c r="B25" s="10">
        <f>+'PARA ESCRIBIR'!B25</f>
        <v>0</v>
      </c>
      <c r="C25" s="9">
        <f>+'PARA ESCRIBIR'!C25</f>
        <v>0</v>
      </c>
      <c r="E25" s="5"/>
      <c r="F25" s="5"/>
    </row>
    <row r="26" spans="1:3" ht="15">
      <c r="A26" s="6">
        <v>20</v>
      </c>
      <c r="B26" s="10">
        <f>+'PARA ESCRIBIR'!B26</f>
        <v>0</v>
      </c>
      <c r="C26" s="9">
        <f>+'PARA ESCRIBIR'!C26</f>
        <v>0</v>
      </c>
    </row>
  </sheetData>
  <sheetProtection/>
  <mergeCells count="6">
    <mergeCell ref="E20:F21"/>
    <mergeCell ref="E22:F23"/>
    <mergeCell ref="A1:F1"/>
    <mergeCell ref="A3:B3"/>
    <mergeCell ref="E3:F17"/>
    <mergeCell ref="E19:F19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7"/>
  <sheetViews>
    <sheetView tabSelected="1" zoomScalePageLayoutView="0" workbookViewId="0" topLeftCell="A1">
      <selection activeCell="D19" sqref="D19"/>
    </sheetView>
  </sheetViews>
  <sheetFormatPr defaultColWidth="11.421875" defaultRowHeight="15" outlineLevelCol="1"/>
  <cols>
    <col min="1" max="1" width="6.421875" style="0" customWidth="1"/>
    <col min="2" max="2" width="49.7109375" style="0" customWidth="1"/>
    <col min="3" max="3" width="20.57421875" style="0" customWidth="1"/>
    <col min="4" max="4" width="15.8515625" style="0" customWidth="1"/>
    <col min="5" max="5" width="9.7109375" style="0" customWidth="1"/>
    <col min="6" max="6" width="8.8515625" style="0" customWidth="1"/>
    <col min="7" max="7" width="16.57421875" style="0" hidden="1" customWidth="1" outlineLevel="1"/>
    <col min="8" max="9" width="14.00390625" style="0" hidden="1" customWidth="1" outlineLevel="1"/>
    <col min="10" max="10" width="13.28125" style="0" hidden="1" customWidth="1" outlineLevel="1"/>
    <col min="11" max="12" width="14.8515625" style="0" hidden="1" customWidth="1" outlineLevel="1"/>
    <col min="13" max="13" width="15.28125" style="0" hidden="1" customWidth="1" outlineLevel="1"/>
    <col min="14" max="14" width="14.8515625" style="0" hidden="1" customWidth="1" outlineLevel="1"/>
    <col min="15" max="15" width="16.421875" style="0" hidden="1" customWidth="1" outlineLevel="1"/>
    <col min="16" max="16" width="13.421875" style="0" customWidth="1" collapsed="1"/>
    <col min="17" max="17" width="13.00390625" style="0" customWidth="1"/>
    <col min="18" max="18" width="14.7109375" style="0" hidden="1" customWidth="1" outlineLevel="1"/>
    <col min="19" max="19" width="14.57421875" style="0" hidden="1" customWidth="1" outlineLevel="1"/>
    <col min="20" max="20" width="13.57421875" style="0" hidden="1" customWidth="1" outlineLevel="1"/>
    <col min="21" max="21" width="13.28125" style="0" hidden="1" customWidth="1" outlineLevel="1"/>
    <col min="22" max="22" width="2.7109375" style="0" customWidth="1" collapsed="1"/>
    <col min="23" max="25" width="2.7109375" style="0" customWidth="1"/>
  </cols>
  <sheetData>
    <row r="1" spans="1:25" ht="15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15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5">
      <c r="A3" s="73" t="s">
        <v>53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25" ht="56.25" customHeight="1">
      <c r="A4" s="80" t="s">
        <v>51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ht="15.75">
      <c r="A5" s="71" t="s">
        <v>52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6:25" ht="15">
      <c r="P6" s="70" t="s">
        <v>54</v>
      </c>
      <c r="Q6" s="70"/>
      <c r="R6" s="70"/>
      <c r="S6" s="70"/>
      <c r="T6" s="70"/>
      <c r="U6" s="70"/>
      <c r="V6" s="70"/>
      <c r="W6" s="70"/>
      <c r="X6" s="70"/>
      <c r="Y6" s="70"/>
    </row>
    <row r="7" spans="1:25" s="19" customFormat="1" ht="33.75" customHeight="1">
      <c r="A7" s="77" t="s">
        <v>23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</row>
    <row r="8" spans="1:4" s="19" customFormat="1" ht="25.5" customHeight="1">
      <c r="A8" s="54">
        <v>1</v>
      </c>
      <c r="B8" s="26" t="s">
        <v>1</v>
      </c>
      <c r="C8" s="38">
        <f>VLOOKUP(A8,PRESUPUESTO,3)</f>
        <v>72023138</v>
      </c>
      <c r="D8" s="8"/>
    </row>
    <row r="9" spans="1:4" s="19" customFormat="1" ht="27.75" customHeight="1">
      <c r="A9" s="53"/>
      <c r="B9" s="27" t="s">
        <v>2</v>
      </c>
      <c r="C9" s="39">
        <f>C8*0.95</f>
        <v>68421981.1</v>
      </c>
      <c r="D9" s="39">
        <f>C8</f>
        <v>72023138</v>
      </c>
    </row>
    <row r="10" spans="11:12" s="19" customFormat="1" ht="15">
      <c r="K10" s="82" t="s">
        <v>9</v>
      </c>
      <c r="L10" s="82"/>
    </row>
    <row r="11" spans="1:25" s="52" customFormat="1" ht="48">
      <c r="A11" s="48" t="s">
        <v>29</v>
      </c>
      <c r="B11" s="48" t="s">
        <v>0</v>
      </c>
      <c r="C11" s="49" t="s">
        <v>10</v>
      </c>
      <c r="D11" s="50" t="s">
        <v>6</v>
      </c>
      <c r="E11" s="50" t="s">
        <v>7</v>
      </c>
      <c r="F11" s="51" t="s">
        <v>8</v>
      </c>
      <c r="G11" s="49" t="s">
        <v>11</v>
      </c>
      <c r="H11" s="49" t="s">
        <v>12</v>
      </c>
      <c r="I11" s="49" t="s">
        <v>24</v>
      </c>
      <c r="J11" s="49" t="s">
        <v>13</v>
      </c>
      <c r="K11" s="48" t="s">
        <v>14</v>
      </c>
      <c r="L11" s="48" t="s">
        <v>15</v>
      </c>
      <c r="M11" s="49" t="s">
        <v>16</v>
      </c>
      <c r="N11" s="49" t="s">
        <v>17</v>
      </c>
      <c r="O11" s="49" t="s">
        <v>32</v>
      </c>
      <c r="P11" s="49" t="s">
        <v>27</v>
      </c>
      <c r="Q11" s="49" t="s">
        <v>5</v>
      </c>
      <c r="V11" s="74" t="s">
        <v>49</v>
      </c>
      <c r="W11" s="75"/>
      <c r="X11" s="75"/>
      <c r="Y11" s="76"/>
    </row>
    <row r="12" spans="1:25" s="19" customFormat="1" ht="22.5" customHeight="1">
      <c r="A12" s="55">
        <v>1</v>
      </c>
      <c r="B12" s="56" t="str">
        <f aca="true" t="shared" si="0" ref="B12:B20">VLOOKUP(A12,datos,2)</f>
        <v>MARIA EUGENIA TRUJILLO SOLARTE</v>
      </c>
      <c r="C12" s="57">
        <f aca="true" t="shared" si="1" ref="C12:C20">VLOOKUP(A12,datos,3)</f>
        <v>71708563</v>
      </c>
      <c r="D12" s="58" t="s">
        <v>3</v>
      </c>
      <c r="E12" s="59" t="str">
        <f aca="true" t="shared" si="2" ref="E12:E20">IF(C12&lt;$C$9,"NO",IF(C12&gt;$D$9,"NO","SI"))</f>
        <v>SI</v>
      </c>
      <c r="F12" s="59" t="str">
        <f>IF(AND(D12="SI",E12="SI"),"SI","NO")</f>
        <v>SI</v>
      </c>
      <c r="G12" s="60">
        <f>IF(F12="SI",C12,1)</f>
        <v>71708563</v>
      </c>
      <c r="H12" s="59">
        <f>IF(D24=0,20,20-D24)</f>
        <v>20</v>
      </c>
      <c r="I12" s="59">
        <f>COUNTIF(G12:G20,"&gt;1")</f>
        <v>9</v>
      </c>
      <c r="J12" s="60">
        <f>(SUMIF(G12:G20,"&gt;1"))/$I$12</f>
        <v>71639341.8888889</v>
      </c>
      <c r="K12" s="61">
        <f>J12*0.98</f>
        <v>70206555.05111112</v>
      </c>
      <c r="L12" s="61">
        <f>J12*1.02</f>
        <v>73072128.72666667</v>
      </c>
      <c r="M12" s="60">
        <f aca="true" t="shared" si="3" ref="M12:M20">IF(G12&lt;$K$12,1,IF(G12&gt;$L$12,1,G12))</f>
        <v>71708563</v>
      </c>
      <c r="N12" s="59">
        <f>(SUMIF(M12:M20,"&gt;1"))/$M$21</f>
        <v>71639341.8888889</v>
      </c>
      <c r="O12" s="59" t="str">
        <f aca="true" t="shared" si="4" ref="O12:O20">IF(M12&lt;$K$12,"P",IF(M12&gt;$J$12,"P",M12))</f>
        <v>P</v>
      </c>
      <c r="P12" s="60">
        <f aca="true" t="shared" si="5" ref="P12:P20">IF(M12&gt;1,ABS(M12-$D$31),"N")</f>
        <v>62224.08579592407</v>
      </c>
      <c r="Q12" s="59" t="str">
        <f aca="true" t="shared" si="6" ref="Q12:Q20">IF(P12=$P$21,"GANADOR","")</f>
        <v>GANADOR</v>
      </c>
      <c r="R12" s="59" t="str">
        <f aca="true" t="shared" si="7" ref="R12:R20">IF(P12&lt;&gt;$P$21,P12,"N")</f>
        <v>N</v>
      </c>
      <c r="S12" s="59" t="str">
        <f aca="true" t="shared" si="8" ref="S12:S20">IF(R12&lt;&gt;$R$21,R12,"N")</f>
        <v>N</v>
      </c>
      <c r="T12" s="59" t="str">
        <f aca="true" t="shared" si="9" ref="T12:T20">IF(S12&lt;&gt;$S$21,S12,"N")</f>
        <v>N</v>
      </c>
      <c r="U12" s="59" t="str">
        <f aca="true" t="shared" si="10" ref="U12:U20">IF(T12&lt;&gt;$T$21,T12,"N")</f>
        <v>N</v>
      </c>
      <c r="V12" s="62">
        <f aca="true" t="shared" si="11" ref="V12:V20">IF(R12=$R$21,"2º","")</f>
      </c>
      <c r="W12" s="59">
        <f aca="true" t="shared" si="12" ref="W12:W20">IF(S12=$S$21,"3º","")</f>
      </c>
      <c r="X12" s="59">
        <f aca="true" t="shared" si="13" ref="X12:X20">IF(T12=$T$21,"4º","")</f>
      </c>
      <c r="Y12" s="59">
        <f aca="true" t="shared" si="14" ref="Y12:Y20">IF(U12=$U$21,"5º","")</f>
      </c>
    </row>
    <row r="13" spans="1:25" s="19" customFormat="1" ht="23.25" customHeight="1">
      <c r="A13" s="3">
        <v>2</v>
      </c>
      <c r="B13" s="40" t="str">
        <f t="shared" si="0"/>
        <v>ELEAZAR GIRALDO FAJURI</v>
      </c>
      <c r="C13" s="15">
        <f t="shared" si="1"/>
        <v>71729616</v>
      </c>
      <c r="D13" s="2" t="s">
        <v>3</v>
      </c>
      <c r="E13" s="41" t="str">
        <f t="shared" si="2"/>
        <v>SI</v>
      </c>
      <c r="F13" s="41" t="str">
        <f aca="true" t="shared" si="15" ref="F13:F20">IF(AND(D13="SI",E13="SI"),"SI","NO")</f>
        <v>SI</v>
      </c>
      <c r="G13" s="42">
        <f aca="true" t="shared" si="16" ref="G13:G20">IF(F13="SI",C13,1)</f>
        <v>71729616</v>
      </c>
      <c r="H13" s="45"/>
      <c r="I13" s="45"/>
      <c r="J13" s="41"/>
      <c r="K13" s="45"/>
      <c r="L13" s="45"/>
      <c r="M13" s="42">
        <f t="shared" si="3"/>
        <v>71729616</v>
      </c>
      <c r="N13" s="45"/>
      <c r="O13" s="41" t="str">
        <f t="shared" si="4"/>
        <v>P</v>
      </c>
      <c r="P13" s="42">
        <f t="shared" si="5"/>
        <v>83277.08579592407</v>
      </c>
      <c r="Q13" s="41">
        <f t="shared" si="6"/>
      </c>
      <c r="R13" s="41">
        <f t="shared" si="7"/>
        <v>83277.08579592407</v>
      </c>
      <c r="S13" s="41" t="str">
        <f t="shared" si="8"/>
        <v>N</v>
      </c>
      <c r="T13" s="41" t="str">
        <f t="shared" si="9"/>
        <v>N</v>
      </c>
      <c r="U13" s="41" t="str">
        <f t="shared" si="10"/>
        <v>N</v>
      </c>
      <c r="V13" s="44" t="str">
        <f t="shared" si="11"/>
        <v>2º</v>
      </c>
      <c r="W13" s="41">
        <f t="shared" si="12"/>
      </c>
      <c r="X13" s="41">
        <f t="shared" si="13"/>
      </c>
      <c r="Y13" s="41">
        <f t="shared" si="14"/>
      </c>
    </row>
    <row r="14" spans="1:25" s="19" customFormat="1" ht="21" customHeight="1">
      <c r="A14" s="3">
        <v>3</v>
      </c>
      <c r="B14" s="40" t="str">
        <f t="shared" si="0"/>
        <v>JANIO ELVER BURBANO MUÑOZ</v>
      </c>
      <c r="C14" s="15">
        <f t="shared" si="1"/>
        <v>71791204</v>
      </c>
      <c r="D14" s="2" t="s">
        <v>3</v>
      </c>
      <c r="E14" s="41" t="str">
        <f t="shared" si="2"/>
        <v>SI</v>
      </c>
      <c r="F14" s="41" t="str">
        <f t="shared" si="15"/>
        <v>SI</v>
      </c>
      <c r="G14" s="42">
        <f t="shared" si="16"/>
        <v>71791204</v>
      </c>
      <c r="H14" s="45"/>
      <c r="I14" s="45"/>
      <c r="J14" s="41"/>
      <c r="K14" s="45"/>
      <c r="L14" s="45"/>
      <c r="M14" s="42">
        <f t="shared" si="3"/>
        <v>71791204</v>
      </c>
      <c r="N14" s="45"/>
      <c r="O14" s="41" t="str">
        <f t="shared" si="4"/>
        <v>P</v>
      </c>
      <c r="P14" s="42">
        <f t="shared" si="5"/>
        <v>144865.08579592407</v>
      </c>
      <c r="Q14" s="46">
        <f t="shared" si="6"/>
      </c>
      <c r="R14" s="41">
        <f t="shared" si="7"/>
        <v>144865.08579592407</v>
      </c>
      <c r="S14" s="41">
        <f t="shared" si="8"/>
        <v>144865.08579592407</v>
      </c>
      <c r="T14" s="41">
        <f t="shared" si="9"/>
        <v>144865.08579592407</v>
      </c>
      <c r="U14" s="41">
        <f t="shared" si="10"/>
        <v>144865.08579592407</v>
      </c>
      <c r="V14" s="44">
        <f t="shared" si="11"/>
      </c>
      <c r="W14" s="41">
        <f t="shared" si="12"/>
      </c>
      <c r="X14" s="41">
        <f t="shared" si="13"/>
      </c>
      <c r="Y14" s="41" t="str">
        <f t="shared" si="14"/>
        <v>5º</v>
      </c>
    </row>
    <row r="15" spans="1:25" s="19" customFormat="1" ht="19.5" customHeight="1">
      <c r="A15" s="3">
        <v>4</v>
      </c>
      <c r="B15" s="40" t="str">
        <f t="shared" si="0"/>
        <v>JUAN CARLOS COLLAZOS PALTA</v>
      </c>
      <c r="C15" s="15">
        <f t="shared" si="1"/>
        <v>71859675</v>
      </c>
      <c r="D15" s="2" t="s">
        <v>3</v>
      </c>
      <c r="E15" s="41" t="str">
        <f t="shared" si="2"/>
        <v>SI</v>
      </c>
      <c r="F15" s="41" t="str">
        <f t="shared" si="15"/>
        <v>SI</v>
      </c>
      <c r="G15" s="42">
        <f t="shared" si="16"/>
        <v>71859675</v>
      </c>
      <c r="H15" s="45"/>
      <c r="I15" s="45"/>
      <c r="J15" s="41"/>
      <c r="K15" s="45"/>
      <c r="L15" s="45"/>
      <c r="M15" s="42">
        <f t="shared" si="3"/>
        <v>71859675</v>
      </c>
      <c r="N15" s="45"/>
      <c r="O15" s="41" t="str">
        <f t="shared" si="4"/>
        <v>P</v>
      </c>
      <c r="P15" s="42">
        <f t="shared" si="5"/>
        <v>213336.08579592407</v>
      </c>
      <c r="Q15" s="41">
        <f t="shared" si="6"/>
      </c>
      <c r="R15" s="41">
        <f t="shared" si="7"/>
        <v>213336.08579592407</v>
      </c>
      <c r="S15" s="41">
        <f t="shared" si="8"/>
        <v>213336.08579592407</v>
      </c>
      <c r="T15" s="41">
        <f t="shared" si="9"/>
        <v>213336.08579592407</v>
      </c>
      <c r="U15" s="41">
        <f t="shared" si="10"/>
        <v>213336.08579592407</v>
      </c>
      <c r="V15" s="44">
        <f t="shared" si="11"/>
      </c>
      <c r="W15" s="41">
        <f t="shared" si="12"/>
      </c>
      <c r="X15" s="41">
        <f t="shared" si="13"/>
      </c>
      <c r="Y15" s="41">
        <f t="shared" si="14"/>
      </c>
    </row>
    <row r="16" spans="1:25" s="19" customFormat="1" ht="21" customHeight="1">
      <c r="A16" s="3">
        <v>5</v>
      </c>
      <c r="B16" s="40" t="str">
        <f t="shared" si="0"/>
        <v>CARLOS FABIAN SUAREZ VILLAQUIRAN</v>
      </c>
      <c r="C16" s="15">
        <f t="shared" si="1"/>
        <v>71495138</v>
      </c>
      <c r="D16" s="2" t="s">
        <v>3</v>
      </c>
      <c r="E16" s="41" t="str">
        <f t="shared" si="2"/>
        <v>SI</v>
      </c>
      <c r="F16" s="41" t="str">
        <f t="shared" si="15"/>
        <v>SI</v>
      </c>
      <c r="G16" s="42">
        <f t="shared" si="16"/>
        <v>71495138</v>
      </c>
      <c r="H16" s="45"/>
      <c r="I16" s="45"/>
      <c r="J16" s="41"/>
      <c r="K16" s="45"/>
      <c r="L16" s="45"/>
      <c r="M16" s="42">
        <f t="shared" si="3"/>
        <v>71495138</v>
      </c>
      <c r="N16" s="45"/>
      <c r="O16" s="41">
        <f t="shared" si="4"/>
        <v>71495138</v>
      </c>
      <c r="P16" s="42">
        <f t="shared" si="5"/>
        <v>151200.91420407593</v>
      </c>
      <c r="Q16" s="41">
        <f t="shared" si="6"/>
      </c>
      <c r="R16" s="41">
        <f t="shared" si="7"/>
        <v>151200.91420407593</v>
      </c>
      <c r="S16" s="41">
        <f t="shared" si="8"/>
        <v>151200.91420407593</v>
      </c>
      <c r="T16" s="41">
        <f t="shared" si="9"/>
        <v>151200.91420407593</v>
      </c>
      <c r="U16" s="41">
        <f t="shared" si="10"/>
        <v>151200.91420407593</v>
      </c>
      <c r="V16" s="44">
        <f t="shared" si="11"/>
      </c>
      <c r="W16" s="41">
        <f t="shared" si="12"/>
      </c>
      <c r="X16" s="41">
        <f t="shared" si="13"/>
      </c>
      <c r="Y16" s="41">
        <f t="shared" si="14"/>
      </c>
    </row>
    <row r="17" spans="1:25" s="19" customFormat="1" ht="21.75" customHeight="1">
      <c r="A17" s="3">
        <v>6</v>
      </c>
      <c r="B17" s="40" t="str">
        <f t="shared" si="0"/>
        <v>JESUS MARIA HINCAPIE</v>
      </c>
      <c r="C17" s="15">
        <f t="shared" si="1"/>
        <v>71453063</v>
      </c>
      <c r="D17" s="2" t="s">
        <v>3</v>
      </c>
      <c r="E17" s="41" t="str">
        <f t="shared" si="2"/>
        <v>SI</v>
      </c>
      <c r="F17" s="41" t="str">
        <f t="shared" si="15"/>
        <v>SI</v>
      </c>
      <c r="G17" s="42">
        <f t="shared" si="16"/>
        <v>71453063</v>
      </c>
      <c r="H17" s="45"/>
      <c r="I17" s="45"/>
      <c r="J17" s="41"/>
      <c r="K17" s="45"/>
      <c r="L17" s="45"/>
      <c r="M17" s="42">
        <f t="shared" si="3"/>
        <v>71453063</v>
      </c>
      <c r="N17" s="45"/>
      <c r="O17" s="41">
        <f t="shared" si="4"/>
        <v>71453063</v>
      </c>
      <c r="P17" s="42">
        <f t="shared" si="5"/>
        <v>193275.91420407593</v>
      </c>
      <c r="Q17" s="41">
        <f t="shared" si="6"/>
      </c>
      <c r="R17" s="41">
        <f t="shared" si="7"/>
        <v>193275.91420407593</v>
      </c>
      <c r="S17" s="41">
        <f t="shared" si="8"/>
        <v>193275.91420407593</v>
      </c>
      <c r="T17" s="41">
        <f t="shared" si="9"/>
        <v>193275.91420407593</v>
      </c>
      <c r="U17" s="41">
        <f t="shared" si="10"/>
        <v>193275.91420407593</v>
      </c>
      <c r="V17" s="44">
        <f t="shared" si="11"/>
      </c>
      <c r="W17" s="41">
        <f t="shared" si="12"/>
      </c>
      <c r="X17" s="41">
        <f t="shared" si="13"/>
      </c>
      <c r="Y17" s="41">
        <f t="shared" si="14"/>
      </c>
    </row>
    <row r="18" spans="1:25" s="19" customFormat="1" ht="23.25" customHeight="1">
      <c r="A18" s="3">
        <v>7</v>
      </c>
      <c r="B18" s="40" t="str">
        <f t="shared" si="0"/>
        <v>LUIS EDUARDO ORDOÑEZ</v>
      </c>
      <c r="C18" s="15">
        <f t="shared" si="1"/>
        <v>71412381</v>
      </c>
      <c r="D18" s="2" t="s">
        <v>3</v>
      </c>
      <c r="E18" s="41" t="str">
        <f t="shared" si="2"/>
        <v>SI</v>
      </c>
      <c r="F18" s="41" t="str">
        <f t="shared" si="15"/>
        <v>SI</v>
      </c>
      <c r="G18" s="42">
        <f t="shared" si="16"/>
        <v>71412381</v>
      </c>
      <c r="H18" s="45"/>
      <c r="I18" s="45"/>
      <c r="J18" s="41"/>
      <c r="K18" s="45"/>
      <c r="L18" s="45"/>
      <c r="M18" s="42">
        <f t="shared" si="3"/>
        <v>71412381</v>
      </c>
      <c r="N18" s="45"/>
      <c r="O18" s="41">
        <f t="shared" si="4"/>
        <v>71412381</v>
      </c>
      <c r="P18" s="42">
        <f t="shared" si="5"/>
        <v>233957.91420407593</v>
      </c>
      <c r="Q18" s="41">
        <f t="shared" si="6"/>
      </c>
      <c r="R18" s="41">
        <f t="shared" si="7"/>
        <v>233957.91420407593</v>
      </c>
      <c r="S18" s="41">
        <f t="shared" si="8"/>
        <v>233957.91420407593</v>
      </c>
      <c r="T18" s="41">
        <f t="shared" si="9"/>
        <v>233957.91420407593</v>
      </c>
      <c r="U18" s="41">
        <f t="shared" si="10"/>
        <v>233957.91420407593</v>
      </c>
      <c r="V18" s="44">
        <f t="shared" si="11"/>
      </c>
      <c r="W18" s="41">
        <f t="shared" si="12"/>
      </c>
      <c r="X18" s="41">
        <f t="shared" si="13"/>
      </c>
      <c r="Y18" s="41">
        <f t="shared" si="14"/>
      </c>
    </row>
    <row r="19" spans="1:25" s="19" customFormat="1" ht="19.5" customHeight="1">
      <c r="A19" s="3">
        <v>8</v>
      </c>
      <c r="B19" s="40" t="str">
        <f t="shared" si="0"/>
        <v>VICTOR GABRIEL PARRA</v>
      </c>
      <c r="C19" s="15">
        <f t="shared" si="1"/>
        <v>71785461</v>
      </c>
      <c r="D19" s="2" t="s">
        <v>3</v>
      </c>
      <c r="E19" s="41" t="str">
        <f t="shared" si="2"/>
        <v>SI</v>
      </c>
      <c r="F19" s="41" t="str">
        <f t="shared" si="15"/>
        <v>SI</v>
      </c>
      <c r="G19" s="42">
        <f t="shared" si="16"/>
        <v>71785461</v>
      </c>
      <c r="H19" s="45"/>
      <c r="I19" s="45"/>
      <c r="J19" s="41"/>
      <c r="K19" s="45"/>
      <c r="L19" s="45"/>
      <c r="M19" s="42">
        <f t="shared" si="3"/>
        <v>71785461</v>
      </c>
      <c r="N19" s="45"/>
      <c r="O19" s="41" t="str">
        <f t="shared" si="4"/>
        <v>P</v>
      </c>
      <c r="P19" s="42">
        <f t="shared" si="5"/>
        <v>139122.08579592407</v>
      </c>
      <c r="Q19" s="41">
        <f t="shared" si="6"/>
      </c>
      <c r="R19" s="41">
        <f t="shared" si="7"/>
        <v>139122.08579592407</v>
      </c>
      <c r="S19" s="41">
        <f t="shared" si="8"/>
        <v>139122.08579592407</v>
      </c>
      <c r="T19" s="41">
        <f t="shared" si="9"/>
        <v>139122.08579592407</v>
      </c>
      <c r="U19" s="41" t="str">
        <f t="shared" si="10"/>
        <v>N</v>
      </c>
      <c r="V19" s="44">
        <f t="shared" si="11"/>
      </c>
      <c r="W19" s="41">
        <f t="shared" si="12"/>
      </c>
      <c r="X19" s="41" t="str">
        <f t="shared" si="13"/>
        <v>4º</v>
      </c>
      <c r="Y19" s="41">
        <f t="shared" si="14"/>
      </c>
    </row>
    <row r="20" spans="1:25" s="19" customFormat="1" ht="21" customHeight="1">
      <c r="A20" s="3">
        <v>9</v>
      </c>
      <c r="B20" s="40" t="str">
        <f t="shared" si="0"/>
        <v>CONSORCIO CONSTRUCCIONES</v>
      </c>
      <c r="C20" s="15">
        <f t="shared" si="1"/>
        <v>71518976</v>
      </c>
      <c r="D20" s="2" t="s">
        <v>3</v>
      </c>
      <c r="E20" s="41" t="str">
        <f t="shared" si="2"/>
        <v>SI</v>
      </c>
      <c r="F20" s="41" t="str">
        <f t="shared" si="15"/>
        <v>SI</v>
      </c>
      <c r="G20" s="42">
        <f t="shared" si="16"/>
        <v>71518976</v>
      </c>
      <c r="H20" s="45"/>
      <c r="I20" s="45"/>
      <c r="J20" s="41"/>
      <c r="K20" s="45"/>
      <c r="L20" s="45"/>
      <c r="M20" s="42">
        <f t="shared" si="3"/>
        <v>71518976</v>
      </c>
      <c r="N20" s="45"/>
      <c r="O20" s="41">
        <f t="shared" si="4"/>
        <v>71518976</v>
      </c>
      <c r="P20" s="42">
        <f t="shared" si="5"/>
        <v>127362.91420407593</v>
      </c>
      <c r="Q20" s="41">
        <f t="shared" si="6"/>
      </c>
      <c r="R20" s="41">
        <f t="shared" si="7"/>
        <v>127362.91420407593</v>
      </c>
      <c r="S20" s="41">
        <f t="shared" si="8"/>
        <v>127362.91420407593</v>
      </c>
      <c r="T20" s="41" t="str">
        <f t="shared" si="9"/>
        <v>N</v>
      </c>
      <c r="U20" s="41" t="str">
        <f t="shared" si="10"/>
        <v>N</v>
      </c>
      <c r="V20" s="44">
        <f t="shared" si="11"/>
      </c>
      <c r="W20" s="41" t="str">
        <f t="shared" si="12"/>
        <v>3º</v>
      </c>
      <c r="X20" s="41">
        <f t="shared" si="13"/>
      </c>
      <c r="Y20" s="41">
        <f t="shared" si="14"/>
      </c>
    </row>
    <row r="21" spans="13:21" s="19" customFormat="1" ht="15">
      <c r="M21" s="25">
        <f>COUNTIF(M12:M20,"&gt;1")</f>
        <v>9</v>
      </c>
      <c r="N21" s="27" t="s">
        <v>26</v>
      </c>
      <c r="O21" s="24">
        <f>MAX(O12:O20)</f>
        <v>71518976</v>
      </c>
      <c r="P21" s="42">
        <f>MIN(P12:P20)</f>
        <v>62224.08579592407</v>
      </c>
      <c r="R21" s="24">
        <f>MIN(R12:R20)</f>
        <v>83277.08579592407</v>
      </c>
      <c r="S21" s="24">
        <f>MIN(S12:S20)</f>
        <v>127362.91420407593</v>
      </c>
      <c r="T21" s="24">
        <f>MIN(T12:T20)</f>
        <v>139122.08579592407</v>
      </c>
      <c r="U21" s="24">
        <f>MIN(U12:U20)</f>
        <v>144865.08579592407</v>
      </c>
    </row>
    <row r="22" spans="3:15" s="19" customFormat="1" ht="15">
      <c r="C22" s="29"/>
      <c r="D22" s="41" t="s">
        <v>3</v>
      </c>
      <c r="N22" s="27" t="s">
        <v>25</v>
      </c>
      <c r="O22" s="24">
        <f>MIN(O12:O20)</f>
        <v>71412381</v>
      </c>
    </row>
    <row r="23" s="19" customFormat="1" ht="15">
      <c r="D23" s="41" t="s">
        <v>4</v>
      </c>
    </row>
    <row r="24" s="19" customFormat="1" ht="15">
      <c r="D24" s="41">
        <f>COUNT(B12:B20)</f>
        <v>0</v>
      </c>
    </row>
    <row r="25" s="19" customFormat="1" ht="15"/>
    <row r="26" spans="2:7" s="19" customFormat="1" ht="15">
      <c r="B26" s="83" t="s">
        <v>18</v>
      </c>
      <c r="C26" s="83"/>
      <c r="D26" s="30">
        <f>C8</f>
        <v>72023138</v>
      </c>
      <c r="E26" s="31"/>
      <c r="F26" s="31"/>
      <c r="G26" s="31"/>
    </row>
    <row r="27" spans="2:7" s="19" customFormat="1" ht="15.75">
      <c r="B27" s="84" t="s">
        <v>19</v>
      </c>
      <c r="C27" s="84"/>
      <c r="D27" s="32">
        <f>J12</f>
        <v>71639341.8888889</v>
      </c>
      <c r="E27" s="33"/>
      <c r="F27" s="33"/>
      <c r="G27" s="33"/>
    </row>
    <row r="28" spans="2:7" s="19" customFormat="1" ht="15">
      <c r="B28" s="81" t="s">
        <v>20</v>
      </c>
      <c r="C28" s="81"/>
      <c r="D28" s="32">
        <f>N12</f>
        <v>71639341.8888889</v>
      </c>
      <c r="E28" s="34"/>
      <c r="F28" s="34"/>
      <c r="G28" s="35"/>
    </row>
    <row r="29" spans="2:7" s="19" customFormat="1" ht="15">
      <c r="B29" s="81" t="s">
        <v>31</v>
      </c>
      <c r="C29" s="81"/>
      <c r="D29" s="32">
        <f>O21</f>
        <v>71518976</v>
      </c>
      <c r="E29" s="34"/>
      <c r="F29" s="34"/>
      <c r="G29" s="34"/>
    </row>
    <row r="30" spans="2:9" s="19" customFormat="1" ht="15">
      <c r="B30" s="81" t="s">
        <v>21</v>
      </c>
      <c r="C30" s="81"/>
      <c r="D30" s="32">
        <f>O22</f>
        <v>71412381</v>
      </c>
      <c r="E30" s="34"/>
      <c r="F30" s="34"/>
      <c r="G30" s="34"/>
      <c r="I30" s="36"/>
    </row>
    <row r="31" spans="2:9" s="19" customFormat="1" ht="15">
      <c r="B31" s="47" t="s">
        <v>22</v>
      </c>
      <c r="C31" s="47"/>
      <c r="D31" s="43">
        <f>(PRODUCT(D26:D30))^(1/5)</f>
        <v>71646338.91420408</v>
      </c>
      <c r="E31" s="37"/>
      <c r="F31" s="37"/>
      <c r="G31" s="37"/>
      <c r="I31" s="28"/>
    </row>
    <row r="32" s="19" customFormat="1" ht="15"/>
    <row r="33" s="19" customFormat="1" ht="15"/>
    <row r="34" s="19" customFormat="1" ht="15"/>
    <row r="35" s="19" customFormat="1" ht="15">
      <c r="I35" s="28"/>
    </row>
    <row r="37" ht="15">
      <c r="H37">
        <v>0</v>
      </c>
    </row>
    <row r="148" ht="15">
      <c r="E148" s="1"/>
    </row>
    <row r="149" ht="15">
      <c r="E149" s="1"/>
    </row>
    <row r="150" ht="15">
      <c r="E150" s="1"/>
    </row>
    <row r="151" ht="15">
      <c r="E151" s="1"/>
    </row>
    <row r="152" ht="15">
      <c r="E152" s="1"/>
    </row>
    <row r="153" ht="15">
      <c r="E153" s="1"/>
    </row>
    <row r="154" ht="15">
      <c r="E154" s="1"/>
    </row>
    <row r="155" ht="15">
      <c r="E155" s="1"/>
    </row>
    <row r="156" ht="15">
      <c r="E156" s="1"/>
    </row>
    <row r="157" ht="15">
      <c r="E157" s="1"/>
    </row>
    <row r="158" ht="15">
      <c r="E158" s="1"/>
    </row>
    <row r="159" ht="15">
      <c r="E159" s="1"/>
    </row>
    <row r="160" ht="15">
      <c r="E160" s="1"/>
    </row>
    <row r="161" ht="15">
      <c r="E161" s="1"/>
    </row>
    <row r="162" ht="15">
      <c r="E162" s="1"/>
    </row>
    <row r="163" ht="15">
      <c r="E163" s="1"/>
    </row>
    <row r="164" ht="15">
      <c r="E164" s="1"/>
    </row>
    <row r="165" ht="15">
      <c r="E165" s="1"/>
    </row>
    <row r="166" ht="15">
      <c r="E166" s="1"/>
    </row>
    <row r="167" ht="15">
      <c r="E167" s="1"/>
    </row>
  </sheetData>
  <sheetProtection/>
  <mergeCells count="14">
    <mergeCell ref="B30:C30"/>
    <mergeCell ref="K10:L10"/>
    <mergeCell ref="B26:C26"/>
    <mergeCell ref="B27:C27"/>
    <mergeCell ref="B28:C28"/>
    <mergeCell ref="B29:C29"/>
    <mergeCell ref="P6:Y6"/>
    <mergeCell ref="A5:Y5"/>
    <mergeCell ref="A1:Y1"/>
    <mergeCell ref="A2:Y2"/>
    <mergeCell ref="A3:Y3"/>
    <mergeCell ref="V11:Y11"/>
    <mergeCell ref="A7:Y7"/>
    <mergeCell ref="A4:Y4"/>
  </mergeCells>
  <dataValidations count="1">
    <dataValidation type="list" allowBlank="1" showInputMessage="1" showErrorMessage="1" sqref="E148:E167 D12:D20">
      <formula1>$D$22:$D$23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IsabelG</cp:lastModifiedBy>
  <cp:lastPrinted>2011-07-06T13:56:54Z</cp:lastPrinted>
  <dcterms:created xsi:type="dcterms:W3CDTF">2010-03-17T04:07:38Z</dcterms:created>
  <dcterms:modified xsi:type="dcterms:W3CDTF">2011-07-06T19:32:41Z</dcterms:modified>
  <cp:category/>
  <cp:version/>
  <cp:contentType/>
  <cp:contentStatus/>
</cp:coreProperties>
</file>